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oehringer-my.sharepoint.com/personal/tomoko_iwata_boehringer-ingelheim_com/Documents/Documents/EMPEROR/pEF Risk score/"/>
    </mc:Choice>
  </mc:AlternateContent>
  <xr:revisionPtr revIDLastSave="279" documentId="8_{3D24DE45-1BC8-494E-A86D-3497B07C12AB}" xr6:coauthVersionLast="47" xr6:coauthVersionMax="47" xr10:uidLastSave="{3193D652-C4A1-4CF3-ABA0-55E79B0EB668}"/>
  <bookViews>
    <workbookView xWindow="-120" yWindow="-120" windowWidth="29040" windowHeight="17640" xr2:uid="{37A3007C-80E1-4B98-97D6-A0E70D900085}"/>
  </bookViews>
  <sheets>
    <sheet name="EMPEROR-Preserved risk score" sheetId="3" r:id="rId1"/>
    <sheet name="Calculations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6" l="1" a="1"/>
  <c r="D11" i="6" s="1"/>
  <c r="C11" i="6" a="1"/>
  <c r="C11" i="6" s="1"/>
  <c r="B9" i="6" a="1"/>
  <c r="B9" i="6" s="1"/>
  <c r="C8" i="6" a="1"/>
  <c r="C8" i="6" s="1"/>
  <c r="D13" i="6" l="1" a="1"/>
  <c r="D13" i="6" s="1"/>
  <c r="D12" i="6" a="1"/>
  <c r="D12" i="6" s="1"/>
  <c r="D10" i="6" a="1"/>
  <c r="D10" i="6" s="1"/>
  <c r="D8" i="6" a="1"/>
  <c r="D8" i="6" s="1"/>
  <c r="D7" i="6" a="1"/>
  <c r="D7" i="6" s="1"/>
  <c r="D3" i="6"/>
  <c r="D2" i="6"/>
  <c r="C2" i="6"/>
  <c r="C3" i="6"/>
  <c r="C7" i="6" a="1"/>
  <c r="C7" i="6" s="1"/>
  <c r="C13" i="6" a="1"/>
  <c r="C13" i="6" s="1"/>
  <c r="C12" i="6" a="1"/>
  <c r="C12" i="6" s="1"/>
  <c r="C10" i="6" a="1"/>
  <c r="C10" i="6" s="1"/>
  <c r="B8" i="6" a="1"/>
  <c r="B8" i="6" s="1"/>
  <c r="B10" i="6" a="1"/>
  <c r="B10" i="6" s="1"/>
  <c r="B7" i="6" a="1"/>
  <c r="B7" i="6" s="1"/>
  <c r="B6" i="6" a="1"/>
  <c r="B6" i="6" s="1"/>
  <c r="B5" i="6" a="1"/>
  <c r="B5" i="6" s="1"/>
  <c r="B4" i="6" a="1"/>
  <c r="B4" i="6" s="1"/>
  <c r="I8" i="6"/>
  <c r="I7" i="6"/>
  <c r="I6" i="6"/>
  <c r="B24" i="3" l="1" a="1"/>
  <c r="B24" i="3" s="1"/>
  <c r="B3" i="6"/>
  <c r="B2" i="6"/>
  <c r="B11" i="6" l="1"/>
  <c r="B22" i="3" l="1" a="1"/>
  <c r="B22" i="3" s="1"/>
  <c r="C22" i="3" s="1" a="1"/>
  <c r="C22" i="3" s="1"/>
  <c r="D24" i="3" l="1" a="1"/>
  <c r="D24" i="3" s="1"/>
  <c r="C24" i="3" a="1"/>
  <c r="C24" i="3" s="1"/>
  <c r="D22" i="3" a="1"/>
  <c r="D22" i="3" s="1"/>
  <c r="B23" i="3" a="1"/>
  <c r="B23" i="3" s="1"/>
  <c r="C23" i="3" l="1" a="1"/>
  <c r="C23" i="3" s="1"/>
  <c r="D23" i="3" a="1"/>
  <c r="D2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<sst xmlns="http://schemas.openxmlformats.org/spreadsheetml/2006/main" count="88" uniqueCount="75">
  <si>
    <t>Time since most recent heart failure hospitalisation</t>
  </si>
  <si>
    <t>&lt;3 months</t>
  </si>
  <si>
    <t>Time since HF diagnosis</t>
  </si>
  <si>
    <t>&lt;1 year</t>
  </si>
  <si>
    <t>Patient on SGLT2 inhibitor</t>
  </si>
  <si>
    <t>Yes</t>
  </si>
  <si>
    <t>No</t>
  </si>
  <si>
    <t>High-sensitivity cardiac troponin-T (in ng/L)</t>
  </si>
  <si>
    <t>NT-proBNP  (in pg/mL)</t>
  </si>
  <si>
    <t xml:space="preserve">Patient's NYHA class </t>
  </si>
  <si>
    <t>&gt;6 months or no prior hospitalisation</t>
  </si>
  <si>
    <t>II</t>
  </si>
  <si>
    <t>III or IV</t>
  </si>
  <si>
    <t>Counts of nonmissing</t>
  </si>
  <si>
    <t>HFH/CV</t>
  </si>
  <si>
    <t>all-cause death</t>
  </si>
  <si>
    <t>CV death</t>
  </si>
  <si>
    <t>Baseline hazard functions</t>
  </si>
  <si>
    <t>Enter patient values in this column</t>
  </si>
  <si>
    <t>Assessment of risk</t>
  </si>
  <si>
    <t>Checking data input complete</t>
  </si>
  <si>
    <t>Ranges for data input</t>
  </si>
  <si>
    <t>Deciles of risk</t>
  </si>
  <si>
    <t>All-cause death</t>
  </si>
  <si>
    <t>Patients 2 year risk of outcome</t>
  </si>
  <si>
    <t>Heart failure hospitalisation or CV death</t>
  </si>
  <si>
    <t>Cardiovascular death</t>
  </si>
  <si>
    <t>0-10%</t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</si>
  <si>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</si>
  <si>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</si>
  <si>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</si>
  <si>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</si>
  <si>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</si>
  <si>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</si>
  <si>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</si>
  <si>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</si>
  <si>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</si>
  <si>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Patient's NYHA class (select item from drop-down menu)</t>
  </si>
  <si>
    <t>Time since heart failure diagnosis (select item from drop-down menu)</t>
  </si>
  <si>
    <t>Time since most recent heart failure hospitalisation (select item from drop-down menu)</t>
  </si>
  <si>
    <t>3-6 months</t>
  </si>
  <si>
    <t xml:space="preserve">                                 RESULTS</t>
  </si>
  <si>
    <t xml:space="preserve">Decile of risk within the 
EMPEROR-Reduced study population </t>
  </si>
  <si>
    <t>Is patient on SGLT2 inhibitor? (select item from drop-down menu)</t>
  </si>
  <si>
    <r>
      <t xml:space="preserve">High-sensitivity cardiac troponin-T </t>
    </r>
    <r>
      <rPr>
        <sz val="16"/>
        <rFont val="Arial"/>
        <family val="2"/>
      </rPr>
      <t>(ng/L)</t>
    </r>
  </si>
  <si>
    <r>
      <t xml:space="preserve">NT-proBNP </t>
    </r>
    <r>
      <rPr>
        <b/>
        <sz val="16"/>
        <rFont val="Arial"/>
        <family val="2"/>
      </rPr>
      <t xml:space="preserve"> </t>
    </r>
    <r>
      <rPr>
        <sz val="16"/>
        <rFont val="Arial"/>
        <family val="2"/>
      </rPr>
      <t>(pg/mL)</t>
    </r>
  </si>
  <si>
    <t>Patient characteristics</t>
  </si>
  <si>
    <t>Contribution to HFH/CVD linear predictor. Each row is one X*Beta term where Beta is the log hazard ratio.</t>
  </si>
  <si>
    <t>HFH/CVD (minimum value allowed within decile)</t>
  </si>
  <si>
    <t>All-cause death  (minimum value allowed within decile)</t>
  </si>
  <si>
    <t>CV death  (minimum value allowed within decile)</t>
  </si>
  <si>
    <t>History of COPD (select item from drop-down menu)</t>
  </si>
  <si>
    <t>Haemoglobin</t>
  </si>
  <si>
    <t>Haemoglobin (select item from drop-down menu)</t>
  </si>
  <si>
    <t>History of COPD</t>
  </si>
  <si>
    <t>Use of Insulin in DM patients (select item from drop-down menu)</t>
  </si>
  <si>
    <t>Use of Insulin</t>
  </si>
  <si>
    <t>Albumin (g/dL)</t>
  </si>
  <si>
    <t>Age</t>
  </si>
  <si>
    <t>LVEF</t>
  </si>
  <si>
    <t>Age (select item from drop-down menu)</t>
  </si>
  <si>
    <t>LVEF (select item from drop-down menu)</t>
  </si>
  <si>
    <t>&gt;=1year</t>
  </si>
  <si>
    <t>&gt;=12 g/dL</t>
  </si>
  <si>
    <t>&lt;12 g/dL</t>
  </si>
  <si>
    <t>&gt;=50%</t>
  </si>
  <si>
    <t>&lt;50%</t>
  </si>
  <si>
    <t>Non diabetic</t>
  </si>
  <si>
    <t>Diabetic and no insulin use</t>
  </si>
  <si>
    <t>Diabetic and insulin use</t>
  </si>
  <si>
    <t xml:space="preserve">&lt;65 years </t>
  </si>
  <si>
    <t>65 to &lt;75 years</t>
  </si>
  <si>
    <t>&gt;=75 years</t>
  </si>
  <si>
    <t>Contribution to All-cause mortality. Each row is one X*Beta term where Beta is the log hazard ratio.</t>
  </si>
  <si>
    <t>Contribution to CVD linear predictor. Each row is one X*Beta term where Beta is the log hazard ratio.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</si>
</sst>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1"/>
      <color rgb="FF1E1E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Alignment="1">
      <alignment horizontal="center"/>
    </xf>
    <xf numFmtId="10" fontId="0" fillId="0" borderId="0" xfId="0" applyNumberFormat="1" applyFill="1" applyProtection="1">
      <protection hidden="1"/>
    </xf>
    <xf numFmtId="10" fontId="0" fillId="0" borderId="0" xfId="0" applyNumberFormat="1" applyFill="1"/>
    <xf numFmtId="0" fontId="7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 applyProtection="1">
      <alignment vertical="top"/>
      <protection hidden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 vertical="top"/>
    </xf>
    <xf numFmtId="164" fontId="11" fillId="0" borderId="0" xfId="0" applyNumberFormat="1" applyFont="1" applyFill="1" applyAlignment="1">
      <alignment horizontal="center" vertical="top"/>
    </xf>
    <xf numFmtId="0" fontId="0" fillId="0" borderId="0" xfId="0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D4A9-9E14-4233-AEF3-7E48FD2C90B8}">
  <sheetPr codeName="Sheet1"/>
  <dimension ref="A2:V25"/>
  <sheetViews>
    <sheetView tabSelected="1" zoomScale="80" zoomScaleNormal="80" workbookViewId="0">
      <selection activeCell="B11" sqref="B11"/>
    </sheetView>
  </sheetViews>
  <sheetFormatPr defaultColWidth="8.7109375" defaultRowHeight="15" x14ac:dyDescent="0.25"/>
  <cols>
    <col min="1" max="1" width="100" style="9" customWidth="1"/>
    <col min="2" max="2" width="38.42578125" style="9" bestFit="1" customWidth="1"/>
    <col min="3" max="3" width="37.140625" style="9" customWidth="1"/>
    <col min="4" max="4" width="56.42578125" style="9" bestFit="1" customWidth="1"/>
    <col min="5" max="5" width="8.7109375" style="9"/>
    <col min="6" max="6" width="10.28515625" style="9" bestFit="1" customWidth="1"/>
    <col min="7" max="7" width="8.7109375" style="9"/>
    <col min="8" max="8" width="20.28515625" style="9" bestFit="1" customWidth="1"/>
    <col min="9" max="12" width="8.7109375" style="9"/>
    <col min="13" max="13" width="9.5703125" style="9" bestFit="1" customWidth="1"/>
    <col min="14" max="16384" width="8.7109375" style="9"/>
  </cols>
  <sheetData>
    <row r="2" spans="1:22" ht="36" x14ac:dyDescent="0.25">
      <c r="A2" s="14" t="s">
        <v>46</v>
      </c>
      <c r="B2" s="15" t="s">
        <v>18</v>
      </c>
      <c r="C2" s="16"/>
      <c r="D2" s="1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2" ht="20.25" x14ac:dyDescent="0.25">
      <c r="A3" s="17" t="s">
        <v>45</v>
      </c>
      <c r="B3" s="18">
        <v>1200</v>
      </c>
      <c r="C3" s="19"/>
      <c r="D3" s="19"/>
      <c r="U3" s="12"/>
      <c r="V3" s="13"/>
    </row>
    <row r="4" spans="1:22" ht="20.25" x14ac:dyDescent="0.25">
      <c r="A4" s="17" t="s">
        <v>44</v>
      </c>
      <c r="B4" s="18">
        <v>499</v>
      </c>
      <c r="C4" s="19"/>
      <c r="D4" s="19"/>
      <c r="U4" s="12"/>
      <c r="V4" s="13"/>
    </row>
    <row r="5" spans="1:22" ht="16.5" customHeight="1" x14ac:dyDescent="0.25">
      <c r="A5" s="17" t="s">
        <v>39</v>
      </c>
      <c r="B5" s="18" t="s">
        <v>40</v>
      </c>
      <c r="C5" s="19"/>
      <c r="D5" s="19"/>
      <c r="U5" s="12"/>
      <c r="V5" s="13"/>
    </row>
    <row r="6" spans="1:22" ht="18" x14ac:dyDescent="0.25">
      <c r="A6" s="20" t="s">
        <v>38</v>
      </c>
      <c r="B6" s="18" t="s">
        <v>62</v>
      </c>
      <c r="C6" s="19"/>
      <c r="D6" s="19"/>
      <c r="U6" s="12"/>
      <c r="V6" s="13"/>
    </row>
    <row r="7" spans="1:22" ht="18" x14ac:dyDescent="0.25">
      <c r="A7" s="17" t="s">
        <v>53</v>
      </c>
      <c r="B7" s="18" t="s">
        <v>63</v>
      </c>
      <c r="C7" s="19"/>
      <c r="D7" s="19"/>
      <c r="U7" s="12"/>
      <c r="V7" s="13"/>
    </row>
    <row r="8" spans="1:22" ht="18" x14ac:dyDescent="0.25">
      <c r="A8" s="21" t="s">
        <v>37</v>
      </c>
      <c r="B8" s="18" t="s">
        <v>12</v>
      </c>
      <c r="C8" s="19"/>
      <c r="D8" s="19"/>
      <c r="U8" s="12"/>
      <c r="V8" s="13"/>
    </row>
    <row r="9" spans="1:22" ht="18" x14ac:dyDescent="0.25">
      <c r="A9" s="21" t="s">
        <v>51</v>
      </c>
      <c r="B9" s="18" t="s">
        <v>6</v>
      </c>
      <c r="C9" s="19"/>
      <c r="D9" s="19"/>
      <c r="U9" s="12"/>
      <c r="V9" s="13"/>
    </row>
    <row r="10" spans="1:22" ht="18" x14ac:dyDescent="0.25">
      <c r="A10" s="21" t="s">
        <v>43</v>
      </c>
      <c r="B10" s="18" t="s">
        <v>6</v>
      </c>
      <c r="C10" s="19"/>
      <c r="D10" s="19"/>
      <c r="U10" s="12"/>
      <c r="V10" s="13"/>
    </row>
    <row r="11" spans="1:22" ht="18" x14ac:dyDescent="0.25">
      <c r="A11" s="17" t="s">
        <v>55</v>
      </c>
      <c r="B11" s="18" t="s">
        <v>67</v>
      </c>
      <c r="C11" s="19"/>
      <c r="D11" s="19"/>
      <c r="U11" s="10"/>
    </row>
    <row r="12" spans="1:22" ht="18" x14ac:dyDescent="0.25">
      <c r="A12" s="17" t="s">
        <v>57</v>
      </c>
      <c r="B12" s="18">
        <v>4.3</v>
      </c>
      <c r="C12" s="19"/>
      <c r="D12" s="19"/>
      <c r="U12" s="10"/>
    </row>
    <row r="13" spans="1:22" ht="18" x14ac:dyDescent="0.25">
      <c r="A13" s="17" t="s">
        <v>60</v>
      </c>
      <c r="B13" s="18" t="s">
        <v>71</v>
      </c>
      <c r="C13" s="16"/>
      <c r="D13" s="1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ht="18" x14ac:dyDescent="0.25">
      <c r="A14" s="17" t="s">
        <v>61</v>
      </c>
      <c r="B14" s="18" t="s">
        <v>66</v>
      </c>
      <c r="C14" s="16"/>
      <c r="D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x14ac:dyDescent="0.25">
      <c r="B15" s="19"/>
      <c r="C15" s="16"/>
      <c r="D15" s="1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2" x14ac:dyDescent="0.25">
      <c r="A16" s="19"/>
      <c r="B16" s="19"/>
      <c r="C16" s="16"/>
      <c r="D16" s="1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19"/>
      <c r="B17" s="19"/>
      <c r="C17" s="16"/>
      <c r="D17" s="1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19"/>
      <c r="B18" s="19"/>
      <c r="C18" s="16"/>
      <c r="D18" s="1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s="22"/>
      <c r="B19" s="22"/>
      <c r="C19" s="22"/>
      <c r="D19" s="22"/>
      <c r="R19" s="12"/>
      <c r="S19" s="12"/>
      <c r="T19" s="12"/>
    </row>
    <row r="20" spans="1:21" ht="18" x14ac:dyDescent="0.25">
      <c r="A20" s="23" t="s">
        <v>41</v>
      </c>
      <c r="B20" s="17"/>
      <c r="C20" s="17"/>
      <c r="D20" s="17"/>
      <c r="R20" s="12"/>
      <c r="S20" s="12"/>
      <c r="T20" s="12"/>
    </row>
    <row r="21" spans="1:21" ht="60.75" x14ac:dyDescent="0.25">
      <c r="A21" s="17"/>
      <c r="B21" s="24" t="s">
        <v>24</v>
      </c>
      <c r="C21" s="25" t="s">
        <v>19</v>
      </c>
      <c r="D21" s="26" t="s">
        <v>42</v>
      </c>
      <c r="R21" s="12"/>
      <c r="S21" s="12"/>
      <c r="T21" s="12"/>
    </row>
    <row r="22" spans="1:21" ht="18" x14ac:dyDescent="0.25">
      <c r="A22" s="27" t="s">
        <v>25</v>
      </c>
      <c r="B22" s="28" cm="1">
        <f t="array" ref="B22">_xlfn.IFS(Calculations!I6=9, ROUND(1-Calculations!I10^EXP(SUM(Calculations!B2:B10)),3), Calculations!I6&lt;9, "Not all patient characteristics entered" )</f>
        <v>0.77100000000000002</v>
      </c>
      <c r="C22" s="18" t="str" cm="1">
        <f t="array" ref="C22">_xlfn.IFS(B22="Not all patient characteristics entered","Please enter patient characteristics", 'EMPEROR-Preserved risk score'!B22&gt;Calculations!T11, "Very high risk", 'EMPEROR-Preserved risk score'!B22&gt;Calculations!T10, "High risk",  'EMPEROR-Preserved risk score'!B22&gt;Calculations!T8, "Above-average risk",  'EMPEROR-Preserved risk score'!B22&gt;Calculations!T6, "Average risk", 'EMPEROR-Preserved risk score'!B22&gt;Calculations!T4, "Below average risk",B22&gt;Calculations!T2, "Low risk")</f>
        <v>Very high risk</v>
      </c>
      <c r="D22" s="18" t="str" cm="1">
        <f t="array" ref="D22">_xlfn.IFS(B22="Not all patient characteristics entered","", 'EMPEROR-Preserved risk score'!B22&gt;Calculations!T11, Calculations!S11, 'EMPEROR-Preserved risk score'!B22&gt;Calculations!T10, Calculations!S10, 'EMPEROR-Preserved risk score'!B22&gt;Calculations!T10, Calculations!S10, 'EMPEROR-Preserved risk score'!B22&gt;Calculations!T9, Calculations!S9, 'EMPEROR-Preserved risk score'!B22&gt;Calculations!T8, Calculations!S8, 'EMPEROR-Preserved risk score'!B22&gt;Calculations!T7, Calculations!S7, 'EMPEROR-Preserved risk score'!B22&gt;Calculations!T6, Calculations!S6, 'EMPEROR-Preserved risk score'!B22&gt;Calculations!T5, Calculations!S5, 'EMPEROR-Preserved risk score'!B22&gt;Calculations!T4, Calculations!S4, 'EMPEROR-Preserved risk score'!B22&gt;Calculations!T3, Calculations!S3, 'EMPEROR-Preserved risk score'!B22&gt;Calculations!T2, Calculations!S2)</f>
        <v>90-100%</v>
      </c>
      <c r="R22" s="12"/>
      <c r="S22" s="12"/>
      <c r="T22" s="12"/>
    </row>
    <row r="23" spans="1:21" ht="18" x14ac:dyDescent="0.25">
      <c r="A23" s="27" t="s">
        <v>23</v>
      </c>
      <c r="B23" s="28" cm="1">
        <f t="array" ref="B23">_xlfn.IFS(Calculations!I7=8, ROUND(1-Calculations!I11^EXP(SUM(Calculations!C2:C14)),3), Calculations!I7&lt;8, "Not all patient characteristics entered")</f>
        <v>0.42499999999999999</v>
      </c>
      <c r="C23" s="18" t="str" cm="1">
        <f t="array" ref="C23">_xlfn.IFS(B23="Not all patient characteristics entered","Please enter patient characteristics", 'EMPEROR-Preserved risk score'!B23&gt;Calculations!U11, "Very high risk", 'EMPEROR-Preserved risk score'!B23&gt;Calculations!U10, "High risk",  'EMPEROR-Preserved risk score'!B23&gt;Calculations!U8, "Above-average risk",  'EMPEROR-Preserved risk score'!B23&gt;Calculations!U6, "Average risk", 'EMPEROR-Preserved risk score'!B23&gt;Calculations!U4, "Below average risk",B23&gt;Calculations!U2, "Low risk")</f>
        <v>Very high risk</v>
      </c>
      <c r="D23" s="18" t="str" cm="1">
        <f t="array" ref="D23">_xlfn.IFS(B23="Not all patient characteristics entered","", 'EMPEROR-Preserved risk score'!B23&gt;Calculations!U11, Calculations!S11, 'EMPEROR-Preserved risk score'!B23&gt;Calculations!U10, Calculations!S10, 'EMPEROR-Preserved risk score'!B23&gt;Calculations!U10, Calculations!S10, 'EMPEROR-Preserved risk score'!B23&gt;Calculations!U9, Calculations!S9, 'EMPEROR-Preserved risk score'!B23&gt;Calculations!U8, Calculations!S8, 'EMPEROR-Preserved risk score'!B23&gt;Calculations!U7, Calculations!S7, 'EMPEROR-Preserved risk score'!B23&gt;Calculations!U6, Calculations!S6, 'EMPEROR-Preserved risk score'!B23&gt;Calculations!U5, Calculations!S5, 'EMPEROR-Preserved risk score'!B23&gt;Calculations!U4, Calculations!S4, 'EMPEROR-Preserved risk score'!B23&gt;Calculations!U3, Calculations!S3, 'EMPEROR-Preserved risk score'!B23&gt;Calculations!U2, Calculations!S2)</f>
        <v>90-100%</v>
      </c>
      <c r="R23" s="12"/>
      <c r="S23" s="12"/>
      <c r="T23" s="12"/>
    </row>
    <row r="24" spans="1:21" ht="18" x14ac:dyDescent="0.25">
      <c r="A24" s="27" t="s">
        <v>26</v>
      </c>
      <c r="B24" s="28" cm="1">
        <f t="array" ref="B24">_xlfn.IFS(Calculations!I8=8, ROUND(1-Calculations!I12^EXP(SUM(Calculations!D2:D14)),3), Calculations!I8&lt;8, "Not all patient characteristics entered" )</f>
        <v>0.26400000000000001</v>
      </c>
      <c r="C24" s="18" t="str" cm="1">
        <f t="array" ref="C24">_xlfn.IFS(B24="Not all patient characteristics entered","Please enter patient characteristics", 'EMPEROR-Preserved risk score'!B24&gt;Calculations!V11, "Very high risk", 'EMPEROR-Preserved risk score'!B24&gt;Calculations!V10, "High risk",  'EMPEROR-Preserved risk score'!B24&gt;Calculations!V8, "Above-average risk",  'EMPEROR-Preserved risk score'!B24&gt;Calculations!V6, "Average risk", 'EMPEROR-Preserved risk score'!B24&gt;Calculations!V4, "Below average risk",B24&gt;Calculations!V2, "Low risk")</f>
        <v>Very high risk</v>
      </c>
      <c r="D24" s="18" t="str" cm="1">
        <f t="array" ref="D24">_xlfn.IFS(B24="Not all patient characteristics entered","", 'EMPEROR-Preserved risk score'!B24&gt;Calculations!V11, Calculations!S11, 'EMPEROR-Preserved risk score'!B24&gt;Calculations!V10, Calculations!S10, 'EMPEROR-Preserved risk score'!B24&gt;Calculations!V10, Calculations!S10, 'EMPEROR-Preserved risk score'!B24&gt;Calculations!V9, Calculations!S9, 'EMPEROR-Preserved risk score'!B24&gt;Calculations!V8, Calculations!S8, 'EMPEROR-Preserved risk score'!B24&gt;Calculations!V7, Calculations!S7, 'EMPEROR-Preserved risk score'!B24&gt;Calculations!V6, Calculations!S6, 'EMPEROR-Preserved risk score'!B24&gt;Calculations!V5, Calculations!S5, 'EMPEROR-Preserved risk score'!B24&gt;Calculations!V4, Calculations!S4, 'EMPEROR-Preserved risk score'!B24&gt;Calculations!V3, Calculations!S3, 'EMPEROR-Preserved risk score'!B24&gt;Calculations!V2, Calculations!S2)</f>
        <v>90-100%</v>
      </c>
      <c r="R24" s="12"/>
      <c r="S24" s="12"/>
      <c r="T24" s="12"/>
    </row>
    <row r="25" spans="1:21" x14ac:dyDescent="0.25">
      <c r="B25" s="11"/>
      <c r="C25" s="11"/>
    </row>
  </sheetData>
  <dataValidations count="3">
    <dataValidation type="decimal" errorStyle="warning" allowBlank="1" showInputMessage="1" showErrorMessage="1" error="NT-proBNP outside range observed in EMPEROR-Preserved. Please check value and units" sqref="B3" xr:uid="{30845CF6-1814-4B8A-AE7A-B0154DC068A1}">
      <formula1>17</formula1>
      <formula2>48947</formula2>
    </dataValidation>
    <dataValidation type="decimal" errorStyle="warning" allowBlank="1" showInputMessage="1" showErrorMessage="1" error="hs-troponin-T is outside range observed in EMPEROR-Preserved. Please check value and units_x000a_" sqref="B4" xr:uid="{64B7679F-F314-432A-A003-0072CE2099BE}">
      <formula1>5</formula1>
      <formula2>1114</formula2>
    </dataValidation>
    <dataValidation type="decimal" errorStyle="warning" allowBlank="1" showInputMessage="1" showErrorMessage="1" error="Albumin outside range observed in EMPEROR-Preserved. Please check value and units" sqref="B12" xr:uid="{0D7F0777-AB63-4466-989A-F76DE315B5ED}">
      <formula1>1.7</formula1>
      <formula2>5.5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4BCC4D8-5503-4029-8A67-5406C2EA40D4}">
          <x14:formula1>
            <xm:f>Calculations!$N$2:$N$3</xm:f>
          </x14:formula1>
          <xm:sqref>B8</xm:sqref>
        </x14:dataValidation>
        <x14:dataValidation type="list" allowBlank="1" showInputMessage="1" showErrorMessage="1" xr:uid="{1E437395-8BCE-45EA-A0F6-C2E02B3CCBC2}">
          <x14:formula1>
            <xm:f>Calculations!$J$2:$J$3</xm:f>
          </x14:formula1>
          <xm:sqref>B9</xm:sqref>
        </x14:dataValidation>
        <x14:dataValidation type="list" allowBlank="1" showInputMessage="1" showErrorMessage="1" error="_x000a_" xr:uid="{A985C453-1E10-4941-A3EA-CF214E2F9560}">
          <x14:formula1>
            <xm:f>Calculations!M2:M3</xm:f>
          </x14:formula1>
          <xm:sqref>B7</xm:sqref>
        </x14:dataValidation>
        <x14:dataValidation type="list" allowBlank="1" showInputMessage="1" showErrorMessage="1" xr:uid="{4CC8CE78-DFE4-4617-83F3-401BC001B73F}">
          <x14:formula1>
            <xm:f>Calculations!J2:J3</xm:f>
          </x14:formula1>
          <xm:sqref>B10</xm:sqref>
        </x14:dataValidation>
        <x14:dataValidation type="list" allowBlank="1" showInputMessage="1" showErrorMessage="1" xr:uid="{CAADB552-2DAB-4D85-9564-9109EF7F7DA6}">
          <x14:formula1>
            <xm:f>Calculations!K2:K4</xm:f>
          </x14:formula1>
          <xm:sqref>B5</xm:sqref>
        </x14:dataValidation>
        <x14:dataValidation type="list" allowBlank="1" showInputMessage="1" showErrorMessage="1" xr:uid="{CE2EB870-67C5-4AF2-9E1E-624D062B4D57}">
          <x14:formula1>
            <xm:f>Calculations!L2:L3</xm:f>
          </x14:formula1>
          <xm:sqref>B6</xm:sqref>
        </x14:dataValidation>
        <x14:dataValidation type="list" allowBlank="1" showInputMessage="1" showErrorMessage="1" xr:uid="{15E28389-45DA-4C8A-BC9A-A4C61A513417}">
          <x14:formula1>
            <xm:f>Calculations!O2:O4</xm:f>
          </x14:formula1>
          <xm:sqref>B11</xm:sqref>
        </x14:dataValidation>
        <x14:dataValidation type="list" allowBlank="1" showInputMessage="1" showErrorMessage="1" xr:uid="{213A4AF4-4F48-4B17-8972-CF53F7723E12}">
          <x14:formula1>
            <xm:f>Calculations!P2:P4</xm:f>
          </x14:formula1>
          <xm:sqref>B13</xm:sqref>
        </x14:dataValidation>
        <x14:dataValidation type="list" allowBlank="1" showInputMessage="1" showErrorMessage="1" xr:uid="{FEE3F80F-989C-4A38-AD52-418DABE3E123}">
          <x14:formula1>
            <xm:f>Calculations!Q2:Q3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79D7-B42B-4B1F-893A-872A9F66DA10}">
  <sheetPr codeName="Sheet2"/>
  <dimension ref="A1:V16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36.85546875" style="1" customWidth="1"/>
    <col min="2" max="2" width="27.140625" style="1" customWidth="1"/>
    <col min="3" max="3" width="21" style="1" customWidth="1"/>
    <col min="4" max="4" width="23.42578125" style="1" customWidth="1"/>
    <col min="5" max="6" width="8.7109375" style="1"/>
    <col min="7" max="7" width="32.140625" style="1" customWidth="1"/>
    <col min="8" max="8" width="13.42578125" style="1" bestFit="1" customWidth="1"/>
    <col min="9" max="18" width="8.7109375" style="1"/>
    <col min="19" max="19" width="12.42578125" style="1" bestFit="1" customWidth="1"/>
    <col min="20" max="20" width="8.85546875" style="1" customWidth="1"/>
    <col min="21" max="21" width="13.7109375" style="1" bestFit="1" customWidth="1"/>
    <col min="22" max="22" width="8.5703125" style="1" bestFit="1" customWidth="1"/>
    <col min="23" max="16384" width="8.7109375" style="1"/>
  </cols>
  <sheetData>
    <row r="1" spans="1:22" ht="71.45" customHeight="1" x14ac:dyDescent="0.25">
      <c r="B1" s="29" t="s">
        <v>47</v>
      </c>
      <c r="C1" s="29" t="s">
        <v>73</v>
      </c>
      <c r="D1" s="29" t="s">
        <v>74</v>
      </c>
      <c r="J1" s="34" t="s">
        <v>21</v>
      </c>
      <c r="K1" s="34"/>
      <c r="L1" s="34"/>
      <c r="M1" s="34"/>
      <c r="N1" s="34"/>
      <c r="O1" s="34"/>
      <c r="P1" s="34"/>
      <c r="Q1" s="34"/>
      <c r="S1" s="4" t="s">
        <v>22</v>
      </c>
      <c r="T1" s="1" t="s">
        <v>48</v>
      </c>
      <c r="U1" s="1" t="s">
        <v>49</v>
      </c>
      <c r="V1" s="1" t="s">
        <v>50</v>
      </c>
    </row>
    <row r="2" spans="1:22" x14ac:dyDescent="0.25">
      <c r="A2" s="5" t="s">
        <v>8</v>
      </c>
      <c r="B2" s="1">
        <f>LN('EMPEROR-Preserved risk score'!B3)*0.48</f>
        <v>3.403236881172524</v>
      </c>
      <c r="C2" s="1">
        <f>LN('EMPEROR-Preserved risk score'!B3)*0.34</f>
        <v>2.4106261241638713</v>
      </c>
      <c r="D2" s="1">
        <f>LN('EMPEROR-Preserved risk score'!B3)*0.4</f>
        <v>2.836030734310437</v>
      </c>
      <c r="J2" s="1" t="s">
        <v>5</v>
      </c>
      <c r="K2" s="1" t="s">
        <v>10</v>
      </c>
      <c r="L2" s="33" t="s">
        <v>3</v>
      </c>
      <c r="M2" s="1" t="s">
        <v>63</v>
      </c>
      <c r="N2" s="1" t="s">
        <v>11</v>
      </c>
      <c r="O2" s="1" t="s">
        <v>67</v>
      </c>
      <c r="P2" s="1" t="s">
        <v>70</v>
      </c>
      <c r="Q2" s="1" t="s">
        <v>65</v>
      </c>
      <c r="S2" s="2" t="s">
        <v>27</v>
      </c>
      <c r="T2" s="30">
        <v>0</v>
      </c>
      <c r="U2" s="30">
        <v>0</v>
      </c>
      <c r="V2" s="30">
        <v>0</v>
      </c>
    </row>
    <row r="3" spans="1:22" x14ac:dyDescent="0.25">
      <c r="A3" s="5" t="s">
        <v>7</v>
      </c>
      <c r="B3" s="10">
        <f>LN('EMPEROR-Preserved risk score'!B4)*0.46</f>
        <v>2.8577988040456987</v>
      </c>
      <c r="C3" s="1">
        <f>LN('EMPEROR-Preserved risk score'!B4)*0.42</f>
        <v>2.6092945602156377</v>
      </c>
      <c r="D3" s="1">
        <f>LN('EMPEROR-Preserved risk score'!B4)*0.37</f>
        <v>2.2986642554280619</v>
      </c>
      <c r="J3" s="1" t="s">
        <v>6</v>
      </c>
      <c r="K3" s="1" t="s">
        <v>40</v>
      </c>
      <c r="L3" s="33" t="s">
        <v>62</v>
      </c>
      <c r="M3" s="1" t="s">
        <v>64</v>
      </c>
      <c r="N3" s="1" t="s">
        <v>12</v>
      </c>
      <c r="O3" s="1" t="s">
        <v>69</v>
      </c>
      <c r="P3" s="1" t="s">
        <v>71</v>
      </c>
      <c r="Q3" s="1" t="s">
        <v>66</v>
      </c>
      <c r="S3" s="2" t="s">
        <v>28</v>
      </c>
      <c r="T3" s="30">
        <v>4.1000000000000002E-2</v>
      </c>
      <c r="U3" s="30">
        <v>0.04</v>
      </c>
      <c r="V3" s="30">
        <v>2.1999999999999999E-2</v>
      </c>
    </row>
    <row r="4" spans="1:22" x14ac:dyDescent="0.25">
      <c r="A4" s="5" t="s">
        <v>0</v>
      </c>
      <c r="B4" s="32" cm="1">
        <f t="array" ref="B4">_xlfn.IFS('EMPEROR-Preserved risk score'!B5=K4, 0.67, 'EMPEROR-Preserved risk score'!B5=K3, 0.54, 'EMPEROR-Preserved risk score'!B5=K2,0)</f>
        <v>0.54</v>
      </c>
      <c r="C4" s="31">
        <v>0</v>
      </c>
      <c r="D4" s="31">
        <v>0</v>
      </c>
      <c r="K4" s="1" t="s">
        <v>1</v>
      </c>
      <c r="L4" s="33"/>
      <c r="O4" s="1" t="s">
        <v>68</v>
      </c>
      <c r="P4" s="1" t="s">
        <v>72</v>
      </c>
      <c r="S4" s="2" t="s">
        <v>29</v>
      </c>
      <c r="T4" s="30">
        <v>5.6000000000000001E-2</v>
      </c>
      <c r="U4" s="30">
        <v>5.1999999999999998E-2</v>
      </c>
      <c r="V4" s="30">
        <v>2.9000000000000001E-2</v>
      </c>
    </row>
    <row r="5" spans="1:22" x14ac:dyDescent="0.25">
      <c r="A5" s="6" t="s">
        <v>2</v>
      </c>
      <c r="B5" s="32" cm="1">
        <f t="array" ref="B5">_xlfn.IFS('EMPEROR-Preserved risk score'!B6=L2, 0, 'EMPEROR-Preserved risk score'!B6=L3, 0.34)</f>
        <v>0.34</v>
      </c>
      <c r="C5" s="31">
        <v>0</v>
      </c>
      <c r="D5" s="31">
        <v>0</v>
      </c>
      <c r="G5" s="4" t="s">
        <v>20</v>
      </c>
      <c r="S5" s="2" t="s">
        <v>30</v>
      </c>
      <c r="T5" s="30">
        <v>7.0999999999999994E-2</v>
      </c>
      <c r="U5" s="30">
        <v>6.3E-2</v>
      </c>
      <c r="V5" s="30">
        <v>3.5000000000000003E-2</v>
      </c>
    </row>
    <row r="6" spans="1:22" x14ac:dyDescent="0.25">
      <c r="A6" s="7" t="s">
        <v>52</v>
      </c>
      <c r="B6" s="31" cm="1">
        <f t="array" ref="B6">_xlfn.IFS('EMPEROR-Preserved risk score'!B7=M2,0, 'EMPEROR-Preserved risk score'!B7=M3,0.35)</f>
        <v>0</v>
      </c>
      <c r="C6" s="31">
        <v>0</v>
      </c>
      <c r="D6" s="31">
        <v>0</v>
      </c>
      <c r="G6" s="1" t="s">
        <v>13</v>
      </c>
      <c r="H6" s="1" t="s">
        <v>14</v>
      </c>
      <c r="I6" s="1">
        <f>COUNTA('EMPEROR-Preserved risk score'!B3:B11)</f>
        <v>9</v>
      </c>
      <c r="S6" s="2" t="s">
        <v>31</v>
      </c>
      <c r="T6" s="30">
        <v>8.5999999999999993E-2</v>
      </c>
      <c r="U6" s="30">
        <v>7.5999999999999998E-2</v>
      </c>
      <c r="V6" s="30">
        <v>4.2000000000000003E-2</v>
      </c>
    </row>
    <row r="7" spans="1:22" x14ac:dyDescent="0.25">
      <c r="A7" s="7" t="s">
        <v>9</v>
      </c>
      <c r="B7" s="32" cm="1">
        <f t="array" ref="B7">_xlfn.IFS('EMPEROR-Preserved risk score'!B8=N2, 0, 'EMPEROR-Preserved risk score'!B8=N3, 0.51)</f>
        <v>0.51</v>
      </c>
      <c r="C7" s="32" cm="1">
        <f t="array" ref="C7">_xlfn.IFS('EMPEROR-Preserved risk score'!B8=N2, 0, 'EMPEROR-Preserved risk score'!B8=N3, 0.33)</f>
        <v>0.33</v>
      </c>
      <c r="D7" s="32" cm="1">
        <f t="array" ref="D7">_xlfn.IFS('EMPEROR-Preserved risk score'!B8=N2, 0, 'EMPEROR-Preserved risk score'!B8=N3, 0.29)</f>
        <v>0.28999999999999998</v>
      </c>
      <c r="H7" s="1" t="s">
        <v>15</v>
      </c>
      <c r="I7" s="1">
        <f>COUNTA('EMPEROR-Preserved risk score'!B8:B10,'EMPEROR-Preserved risk score'!B12:B14,'EMPEROR-Preserved risk score'!B4,'EMPEROR-Preserved risk score'!B3)</f>
        <v>8</v>
      </c>
      <c r="S7" s="2" t="s">
        <v>32</v>
      </c>
      <c r="T7" s="30">
        <v>0.105</v>
      </c>
      <c r="U7" s="30">
        <v>0.09</v>
      </c>
      <c r="V7" s="30">
        <v>0.05</v>
      </c>
    </row>
    <row r="8" spans="1:22" x14ac:dyDescent="0.25">
      <c r="A8" s="7" t="s">
        <v>54</v>
      </c>
      <c r="B8" s="31" cm="1">
        <f t="array" ref="B8">_xlfn.IFS('EMPEROR-Preserved risk score'!B9=J2, 0.53, 'EMPEROR-Preserved risk score'!B9=J3, 0)</f>
        <v>0</v>
      </c>
      <c r="C8" s="31" cm="1">
        <f t="array" ref="C8">_xlfn.IFS('EMPEROR-Preserved risk score'!B9=J2,0.54, 'EMPEROR-Preserved risk score'!B9=J3,0)</f>
        <v>0</v>
      </c>
      <c r="D8" s="31" cm="1">
        <f t="array" ref="D8">_xlfn.IFS('EMPEROR-Preserved risk score'!B9=J2,0.55, 'EMPEROR-Preserved risk score'!B9=J3,0)</f>
        <v>0</v>
      </c>
      <c r="H8" s="1" t="s">
        <v>16</v>
      </c>
      <c r="I8" s="1">
        <f>COUNTA('EMPEROR-Preserved risk score'!B8:B10, 'EMPEROR-Preserved risk score'!B12:B14,'EMPEROR-Preserved risk score'!B4,'EMPEROR-Preserved risk score'!B3)</f>
        <v>8</v>
      </c>
      <c r="S8" s="2" t="s">
        <v>33</v>
      </c>
      <c r="T8" s="30">
        <v>0.127</v>
      </c>
      <c r="U8" s="30">
        <v>0.105</v>
      </c>
      <c r="V8" s="30">
        <v>0.06</v>
      </c>
    </row>
    <row r="9" spans="1:22" x14ac:dyDescent="0.25">
      <c r="A9" s="7" t="s">
        <v>4</v>
      </c>
      <c r="B9" s="32" cm="1">
        <f t="array" ref="B9">_xlfn.IFS('EMPEROR-Preserved risk score'!B10=J2,- 0.29, 'EMPEROR-Preserved risk score'!B10=J3,0)</f>
        <v>0</v>
      </c>
      <c r="C9" s="31">
        <v>0</v>
      </c>
      <c r="D9" s="31">
        <v>0</v>
      </c>
      <c r="S9" s="2" t="s">
        <v>34</v>
      </c>
      <c r="T9" s="30">
        <v>0.158</v>
      </c>
      <c r="U9" s="30">
        <v>0.127</v>
      </c>
      <c r="V9" s="30">
        <v>7.1999999999999995E-2</v>
      </c>
    </row>
    <row r="10" spans="1:22" x14ac:dyDescent="0.25">
      <c r="A10" s="8" t="s">
        <v>56</v>
      </c>
      <c r="B10" s="32" cm="1">
        <f t="array" ref="B10">_xlfn.IFS( 'EMPEROR-Preserved risk score'!B11=O2,0, 'EMPEROR-Preserved risk score'!B11=O3, 0.48, 'EMPEROR-Preserved risk score'!B11=O4,0.13)</f>
        <v>0</v>
      </c>
      <c r="C10" s="31" cm="1">
        <f t="array" ref="C10">_xlfn.IFS('EMPEROR-Preserved risk score'!B11=O2,0, 'EMPEROR-Preserved risk score'!B11=O3,0.35, 'EMPEROR-Preserved risk score'!B11=O4,0.02)</f>
        <v>0</v>
      </c>
      <c r="D10" s="31" cm="1">
        <f t="array" ref="D10">_xlfn.IFS('EMPEROR-Preserved risk score'!B11=O2,0, 'EMPEROR-Preserved risk score'!B11=O3,0.36, 'EMPEROR-Preserved risk score'!B11=O4, -0.09)</f>
        <v>0</v>
      </c>
      <c r="G10" s="4" t="s">
        <v>17</v>
      </c>
      <c r="H10" s="1" t="s">
        <v>14</v>
      </c>
      <c r="I10" s="3">
        <v>0.99929999999999997</v>
      </c>
      <c r="S10" s="2" t="s">
        <v>35</v>
      </c>
      <c r="T10" s="30">
        <v>0.20300000000000001</v>
      </c>
      <c r="U10" s="30">
        <v>0.159</v>
      </c>
      <c r="V10" s="30">
        <v>0.09</v>
      </c>
    </row>
    <row r="11" spans="1:22" x14ac:dyDescent="0.25">
      <c r="A11" s="10" t="s">
        <v>57</v>
      </c>
      <c r="B11" s="32">
        <f>0</f>
        <v>0</v>
      </c>
      <c r="C11" s="32" cm="1">
        <f t="array" ref="C11">_xlfn.IFS('EMPEROR-Preserved risk score'!B12&gt;=4.5,0,'EMPEROR-Preserved risk score'!B12&lt;4.5,ABS((4.5-'EMPEROR-Preserved risk score'!B12)/0.1)*0.07)</f>
        <v>0.14000000000000012</v>
      </c>
      <c r="D11" s="32" cm="1">
        <f t="array" ref="D11">_xlfn.IFS('EMPEROR-Preserved risk score'!B12&gt;=4.5,0,'EMPEROR-Preserved risk score'!B12&lt;4.5,ABS((4.5 - 'EMPEROR-Preserved risk score'!B12)/0.1)*0.07)</f>
        <v>0.14000000000000012</v>
      </c>
      <c r="H11" s="1" t="s">
        <v>15</v>
      </c>
      <c r="I11" s="3">
        <v>0.99860000000000004</v>
      </c>
      <c r="S11" s="2" t="s">
        <v>36</v>
      </c>
      <c r="T11" s="30">
        <v>0.29899999999999999</v>
      </c>
      <c r="U11" s="30">
        <v>0.216</v>
      </c>
      <c r="V11" s="30">
        <v>0.127</v>
      </c>
    </row>
    <row r="12" spans="1:22" x14ac:dyDescent="0.25">
      <c r="A12" s="1" t="s">
        <v>58</v>
      </c>
      <c r="B12" s="1">
        <v>0</v>
      </c>
      <c r="C12" s="1" cm="1">
        <f t="array" ref="C12">_xlfn.IFS('EMPEROR-Preserved risk score'!B13=P2,0, 'EMPEROR-Preserved risk score'!B13=P3,0.18, 'EMPEROR-Preserved risk score'!B13=P4, 0.45)</f>
        <v>0.18</v>
      </c>
      <c r="D12" s="1" cm="1">
        <f t="array" ref="D12">_xlfn.IFS('EMPEROR-Preserved risk score'!B13=P2,0, 'EMPEROR-Preserved risk score'!B13=P3,0.26, 'EMPEROR-Preserved risk score'!B13=P4, 0.36)</f>
        <v>0.26</v>
      </c>
      <c r="H12" s="1" t="s">
        <v>16</v>
      </c>
      <c r="I12" s="3">
        <v>0.99939999999999996</v>
      </c>
    </row>
    <row r="13" spans="1:22" x14ac:dyDescent="0.25">
      <c r="A13" s="1" t="s">
        <v>59</v>
      </c>
      <c r="B13" s="1">
        <v>0</v>
      </c>
      <c r="C13" s="1" cm="1">
        <f t="array" ref="C13">_xlfn.IFS('EMPEROR-Preserved risk score'!B14=Q2,0, 'EMPEROR-Preserved risk score'!B14=Q3, 0.31)</f>
        <v>0.31</v>
      </c>
      <c r="D13" s="1" cm="1">
        <f t="array" ref="D13">_xlfn.IFS('EMPEROR-Preserved risk score'!B14=Q2, 0, 'EMPEROR-Preserved risk score'!B14=Q3, 0.41)</f>
        <v>0.41</v>
      </c>
      <c r="G13" s="4"/>
    </row>
    <row r="14" spans="1:22" x14ac:dyDescent="0.25">
      <c r="I14" s="9"/>
    </row>
    <row r="15" spans="1:22" x14ac:dyDescent="0.25">
      <c r="I15" s="9"/>
    </row>
    <row r="16" spans="1:22" x14ac:dyDescent="0.25">
      <c r="I16" s="9"/>
    </row>
  </sheetData>
  <mergeCells count="1">
    <mergeCell ref="J1:Q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EMPEROR-Preserved risk score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Gregson</dc:creator>
  <cp:lastModifiedBy>Iwata,Tomoko (MED BDS) BIP-DE-B</cp:lastModifiedBy>
  <dcterms:created xsi:type="dcterms:W3CDTF">2021-06-21T10:44:17Z</dcterms:created>
  <dcterms:modified xsi:type="dcterms:W3CDTF">2022-07-19T09:38:03Z</dcterms:modified>
</cp:coreProperties>
</file>